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oh\Desktop\"/>
    </mc:Choice>
  </mc:AlternateContent>
  <xr:revisionPtr revIDLastSave="0" documentId="13_ncr:1_{64738676-3D8C-4773-AD30-DD10A955E168}" xr6:coauthVersionLast="47" xr6:coauthVersionMax="47" xr10:uidLastSave="{00000000-0000-0000-0000-000000000000}"/>
  <bookViews>
    <workbookView xWindow="-120" yWindow="-120" windowWidth="29040" windowHeight="17520" xr2:uid="{1DFE769E-A779-4F60-B46C-383FF9E07BBD}"/>
  </bookViews>
  <sheets>
    <sheet name="测算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" l="1"/>
  <c r="D24" i="4"/>
  <c r="D20" i="4"/>
  <c r="D21" i="4" s="1"/>
  <c r="D22" i="4" s="1"/>
  <c r="Q13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J9" i="4"/>
  <c r="AF5" i="4" s="1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J6" i="4"/>
  <c r="K12" i="4" s="1"/>
  <c r="AO5" i="4"/>
  <c r="AN5" i="4"/>
  <c r="AM5" i="4"/>
  <c r="AL5" i="4"/>
  <c r="AK5" i="4"/>
  <c r="AJ5" i="4"/>
  <c r="AI5" i="4"/>
  <c r="AH5" i="4"/>
  <c r="AG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AD5" i="4" l="1"/>
  <c r="AE5" i="4"/>
  <c r="D23" i="4"/>
  <c r="D25" i="4"/>
  <c r="D26" i="4" s="1"/>
  <c r="K23" i="4"/>
  <c r="K13" i="4"/>
  <c r="K19" i="4"/>
  <c r="D29" i="4"/>
  <c r="D31" i="4" s="1"/>
  <c r="D33" i="4" s="1"/>
  <c r="K26" i="4" l="1"/>
  <c r="K17" i="4"/>
  <c r="Q4" i="4"/>
  <c r="K14" i="4"/>
  <c r="K15" i="4" s="1"/>
  <c r="K18" i="4"/>
  <c r="P18" i="4"/>
  <c r="K34" i="4"/>
  <c r="H31" i="4"/>
  <c r="H33" i="4"/>
  <c r="H32" i="4"/>
  <c r="Q9" i="4" l="1"/>
  <c r="Q11" i="4"/>
  <c r="Q7" i="4" s="1"/>
  <c r="R4" i="4"/>
  <c r="Q12" i="4" l="1"/>
  <c r="R9" i="4"/>
  <c r="R11" i="4"/>
  <c r="S4" i="4"/>
  <c r="R7" i="4"/>
  <c r="S11" i="4" l="1"/>
  <c r="S7" i="4" s="1"/>
  <c r="T4" i="4"/>
  <c r="S9" i="4"/>
  <c r="R12" i="4"/>
  <c r="S12" i="4" l="1"/>
  <c r="T11" i="4"/>
  <c r="U4" i="4"/>
  <c r="T9" i="4"/>
  <c r="T7" i="4"/>
  <c r="T12" i="4" l="1"/>
  <c r="U11" i="4"/>
  <c r="U7" i="4" s="1"/>
  <c r="V4" i="4"/>
  <c r="U9" i="4"/>
  <c r="U12" i="4" l="1"/>
  <c r="V11" i="4"/>
  <c r="W4" i="4"/>
  <c r="V9" i="4"/>
  <c r="V7" i="4"/>
  <c r="K31" i="4"/>
  <c r="V12" i="4" l="1"/>
  <c r="W11" i="4"/>
  <c r="X4" i="4"/>
  <c r="W9" i="4"/>
  <c r="W7" i="4"/>
  <c r="W12" i="4" l="1"/>
  <c r="X11" i="4"/>
  <c r="Y4" i="4"/>
  <c r="X9" i="4"/>
  <c r="X7" i="4"/>
  <c r="X12" i="4" l="1"/>
  <c r="Y9" i="4"/>
  <c r="Y11" i="4"/>
  <c r="Z4" i="4"/>
  <c r="Y7" i="4"/>
  <c r="Y12" i="4" l="1"/>
  <c r="Z9" i="4"/>
  <c r="Z11" i="4"/>
  <c r="AA4" i="4"/>
  <c r="Z7" i="4" l="1"/>
  <c r="AA9" i="4"/>
  <c r="AA11" i="4"/>
  <c r="AB4" i="4"/>
  <c r="AA7" i="4"/>
  <c r="AA12" i="4" s="1"/>
  <c r="AB11" i="4" l="1"/>
  <c r="AC4" i="4"/>
  <c r="AB9" i="4"/>
  <c r="AB7" i="4"/>
  <c r="Z12" i="4"/>
  <c r="AB12" i="4" l="1"/>
  <c r="AD4" i="4"/>
  <c r="AC11" i="4"/>
  <c r="AC9" i="4"/>
  <c r="AC7" i="4"/>
  <c r="AC12" i="4" l="1"/>
  <c r="AD11" i="4"/>
  <c r="AE4" i="4"/>
  <c r="AD9" i="4"/>
  <c r="AD7" i="4" l="1"/>
  <c r="AE11" i="4"/>
  <c r="AF4" i="4"/>
  <c r="AE9" i="4"/>
  <c r="AE7" i="4"/>
  <c r="AE12" i="4" s="1"/>
  <c r="AF11" i="4" l="1"/>
  <c r="AG4" i="4"/>
  <c r="AF9" i="4"/>
  <c r="AF7" i="4"/>
  <c r="AD12" i="4"/>
  <c r="AF12" i="4" l="1"/>
  <c r="AG9" i="4"/>
  <c r="AG11" i="4"/>
  <c r="AH4" i="4"/>
  <c r="AG7" i="4"/>
  <c r="AG12" i="4" l="1"/>
  <c r="AH9" i="4"/>
  <c r="AH11" i="4"/>
  <c r="AI4" i="4"/>
  <c r="AH7" i="4"/>
  <c r="AH12" i="4" l="1"/>
  <c r="AI11" i="4"/>
  <c r="AJ4" i="4"/>
  <c r="AI9" i="4"/>
  <c r="AI7" i="4"/>
  <c r="AI12" i="4" l="1"/>
  <c r="AJ11" i="4"/>
  <c r="AK4" i="4"/>
  <c r="AJ9" i="4"/>
  <c r="AJ7" i="4"/>
  <c r="AJ12" i="4" l="1"/>
  <c r="AL4" i="4"/>
  <c r="AK11" i="4"/>
  <c r="AK9" i="4"/>
  <c r="AK7" i="4"/>
  <c r="AK12" i="4" l="1"/>
  <c r="AL11" i="4"/>
  <c r="AM4" i="4"/>
  <c r="AL9" i="4"/>
  <c r="AL7" i="4" l="1"/>
  <c r="AM11" i="4"/>
  <c r="AN4" i="4"/>
  <c r="AM9" i="4"/>
  <c r="AN11" i="4" l="1"/>
  <c r="AO4" i="4"/>
  <c r="AN9" i="4"/>
  <c r="AN7" i="4"/>
  <c r="AN12" i="4" s="1"/>
  <c r="AM7" i="4"/>
  <c r="AL12" i="4"/>
  <c r="AM12" i="4" l="1"/>
  <c r="AO9" i="4"/>
  <c r="AO11" i="4"/>
  <c r="AO7" i="4"/>
  <c r="K33" i="4"/>
  <c r="K32" i="4"/>
  <c r="K35" i="4" l="1"/>
  <c r="AO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26" authorId="0" shapeId="0" xr:uid="{EBF6234E-248A-4A84-B22E-505010FEB5F5}">
      <text>
        <r>
          <rPr>
            <sz val="9"/>
            <color indexed="81"/>
            <rFont val="宋体"/>
            <family val="3"/>
            <charset val="134"/>
          </rPr>
          <t>1、直接成本*（1+35%）作为项目投资费用，包含贷款利息、税金、运维费用等；
2、年限=直接成本/(发电收益-屋顶租金）
3、发电收益=直供企业电费+余量上网电费</t>
        </r>
      </text>
    </comment>
  </commentList>
</comments>
</file>

<file path=xl/sharedStrings.xml><?xml version="1.0" encoding="utf-8"?>
<sst xmlns="http://schemas.openxmlformats.org/spreadsheetml/2006/main" count="188" uniqueCount="132">
  <si>
    <t>参数名称</t>
  </si>
  <si>
    <t>单位</t>
  </si>
  <si>
    <t>说明</t>
  </si>
  <si>
    <t>屋顶总面积</t>
  </si>
  <si>
    <t>m²</t>
  </si>
  <si>
    <t>企业实际屋顶面积</t>
  </si>
  <si>
    <t>有效面积占比</t>
  </si>
  <si>
    <t>%</t>
  </si>
  <si>
    <t>建议值60-80%</t>
  </si>
  <si>
    <t>小时</t>
  </si>
  <si>
    <t>平顶山参考值</t>
  </si>
  <si>
    <t>企业年用电量</t>
  </si>
  <si>
    <t>万度</t>
  </si>
  <si>
    <t>年度总用电</t>
  </si>
  <si>
    <t>白天用电占比</t>
  </si>
  <si>
    <t>默认2/3</t>
  </si>
  <si>
    <t>当地工业电价</t>
  </si>
  <si>
    <t>元/度</t>
  </si>
  <si>
    <t>河南工业电价均值</t>
  </si>
  <si>
    <t>上网电价</t>
  </si>
  <si>
    <t>脱硫煤标杆电价</t>
  </si>
  <si>
    <t>单位建设成本</t>
  </si>
  <si>
    <t>元/W</t>
  </si>
  <si>
    <t>当前市场均价</t>
  </si>
  <si>
    <t>运维成本</t>
  </si>
  <si>
    <t>年运维费用</t>
  </si>
  <si>
    <t>指标名称</t>
  </si>
  <si>
    <t>有效安装面积</t>
  </si>
  <si>
    <t>装机容量</t>
  </si>
  <si>
    <t>kW</t>
  </si>
  <si>
    <t>年总发电量</t>
  </si>
  <si>
    <t>企业白天用电需求</t>
  </si>
  <si>
    <t>光伏覆盖比例</t>
  </si>
  <si>
    <t>需扩容面积</t>
  </si>
  <si>
    <t>计算结果</t>
    <phoneticPr fontId="1" type="noConversion"/>
  </si>
  <si>
    <t>屋顶面积X有效面积占比</t>
    <phoneticPr fontId="1" type="noConversion"/>
  </si>
  <si>
    <t>每kW需15㎡屋顶</t>
    <phoneticPr fontId="1" type="noConversion"/>
  </si>
  <si>
    <t>装机容量X小时数</t>
    <phoneticPr fontId="1" type="noConversion"/>
  </si>
  <si>
    <t>总投资成本</t>
  </si>
  <si>
    <t>万元</t>
  </si>
  <si>
    <t>度电成本(LCOE)</t>
  </si>
  <si>
    <t>企业最高可享电价</t>
  </si>
  <si>
    <t>投资方保本电价</t>
  </si>
  <si>
    <t>计划回收投资年限</t>
    <phoneticPr fontId="1" type="noConversion"/>
  </si>
  <si>
    <t>年</t>
    <phoneticPr fontId="1" type="noConversion"/>
  </si>
  <si>
    <t>建设运营年度利息</t>
    <phoneticPr fontId="1" type="noConversion"/>
  </si>
  <si>
    <t>%</t>
    <phoneticPr fontId="1" type="noConversion"/>
  </si>
  <si>
    <t>年贷款利率</t>
    <phoneticPr fontId="1" type="noConversion"/>
  </si>
  <si>
    <t>企业名称</t>
    <phoneticPr fontId="1" type="noConversion"/>
  </si>
  <si>
    <t>经营地址</t>
    <phoneticPr fontId="1" type="noConversion"/>
  </si>
  <si>
    <t>参数值</t>
    <phoneticPr fontId="1" type="noConversion"/>
  </si>
  <si>
    <t>河南巨高嘉业电力设备有限公司</t>
    <phoneticPr fontId="1" type="noConversion"/>
  </si>
  <si>
    <t>河南省平顶山市高新区黄河路337号</t>
    <phoneticPr fontId="1" type="noConversion"/>
  </si>
  <si>
    <t>光伏发电项目测算表</t>
    <phoneticPr fontId="1" type="noConversion"/>
  </si>
  <si>
    <t>项
目
概
况</t>
    <phoneticPr fontId="1" type="noConversion"/>
  </si>
  <si>
    <t>年等效利用小时数</t>
    <phoneticPr fontId="1" type="noConversion"/>
  </si>
  <si>
    <t>屋顶面积</t>
  </si>
  <si>
    <t>屋顶可利用率</t>
  </si>
  <si>
    <t>屋顶可利用率为暂估数</t>
  </si>
  <si>
    <t>可利用面积</t>
  </si>
  <si>
    <t>小时数参照平顶山市</t>
  </si>
  <si>
    <t>年度用电量</t>
  </si>
  <si>
    <t>均为暂估数</t>
  </si>
  <si>
    <t>指标</t>
    <phoneticPr fontId="1" type="noConversion"/>
  </si>
  <si>
    <t>单位</t>
    <phoneticPr fontId="1" type="noConversion"/>
  </si>
  <si>
    <t>内容</t>
    <phoneticPr fontId="1" type="noConversion"/>
  </si>
  <si>
    <t>㎡</t>
    <phoneticPr fontId="1" type="noConversion"/>
  </si>
  <si>
    <t>元/度</t>
    <phoneticPr fontId="1" type="noConversion"/>
  </si>
  <si>
    <t>kwh</t>
    <phoneticPr fontId="1" type="noConversion"/>
  </si>
  <si>
    <t>基本情况</t>
    <phoneticPr fontId="1" type="noConversion"/>
  </si>
  <si>
    <t>小时</t>
    <phoneticPr fontId="1" type="noConversion"/>
  </si>
  <si>
    <t>年等效小时数</t>
    <phoneticPr fontId="1" type="noConversion"/>
  </si>
  <si>
    <t>说明</t>
    <phoneticPr fontId="1" type="noConversion"/>
  </si>
  <si>
    <t>发电情况测算</t>
    <phoneticPr fontId="1" type="noConversion"/>
  </si>
  <si>
    <t>单位面积年发电量</t>
    <phoneticPr fontId="1" type="noConversion"/>
  </si>
  <si>
    <t>度/m²</t>
    <phoneticPr fontId="1" type="noConversion"/>
  </si>
  <si>
    <t>年度发电量÷可利用面积</t>
    <phoneticPr fontId="1" type="noConversion"/>
  </si>
  <si>
    <t>年度白天用电</t>
    <phoneticPr fontId="1" type="noConversion"/>
  </si>
  <si>
    <t>变压器可用容量</t>
    <phoneticPr fontId="1" type="noConversion"/>
  </si>
  <si>
    <t>满足</t>
    <phoneticPr fontId="1" type="noConversion"/>
  </si>
  <si>
    <t>屋顶可装机容量</t>
    <phoneticPr fontId="1" type="noConversion"/>
  </si>
  <si>
    <t>预计年度发电量</t>
    <phoneticPr fontId="1" type="noConversion"/>
  </si>
  <si>
    <t>上网电量</t>
    <phoneticPr fontId="1" type="noConversion"/>
  </si>
  <si>
    <t>需扩容屋顶面积</t>
    <phoneticPr fontId="1" type="noConversion"/>
  </si>
  <si>
    <t>单位造价</t>
    <phoneticPr fontId="1" type="noConversion"/>
  </si>
  <si>
    <t>元/w</t>
    <phoneticPr fontId="1" type="noConversion"/>
  </si>
  <si>
    <t>元</t>
    <phoneticPr fontId="1" type="noConversion"/>
  </si>
  <si>
    <t>组件、逆变器等采用国内一线品牌</t>
    <phoneticPr fontId="1" type="noConversion"/>
  </si>
  <si>
    <t>运营年限</t>
    <phoneticPr fontId="1" type="noConversion"/>
  </si>
  <si>
    <t>发电效率年度衰减</t>
    <phoneticPr fontId="1" type="noConversion"/>
  </si>
  <si>
    <t>企业屋顶租金</t>
    <phoneticPr fontId="1" type="noConversion"/>
  </si>
  <si>
    <t>元/㎡/年</t>
    <phoneticPr fontId="1" type="noConversion"/>
  </si>
  <si>
    <t>投建情况</t>
    <phoneticPr fontId="1" type="noConversion"/>
  </si>
  <si>
    <t>企业收益分析</t>
    <phoneticPr fontId="1" type="noConversion"/>
  </si>
  <si>
    <t>年度</t>
    <phoneticPr fontId="1" type="noConversion"/>
  </si>
  <si>
    <t>目前企业平均电价</t>
    <phoneticPr fontId="1" type="noConversion"/>
  </si>
  <si>
    <t>万元</t>
    <phoneticPr fontId="1" type="noConversion"/>
  </si>
  <si>
    <t>总体投资直接成本</t>
    <phoneticPr fontId="1" type="noConversion"/>
  </si>
  <si>
    <t>发电成本</t>
    <phoneticPr fontId="1" type="noConversion"/>
  </si>
  <si>
    <t>光伏电价</t>
    <phoneticPr fontId="1" type="noConversion"/>
  </si>
  <si>
    <t>电网电价</t>
    <phoneticPr fontId="1" type="noConversion"/>
  </si>
  <si>
    <t>备注</t>
    <phoneticPr fontId="1" type="noConversion"/>
  </si>
  <si>
    <t>按照目前用电规模及电价标准</t>
    <phoneticPr fontId="1" type="noConversion"/>
  </si>
  <si>
    <t>上网电价</t>
    <phoneticPr fontId="1" type="noConversion"/>
  </si>
  <si>
    <t>余量上网收益</t>
    <phoneticPr fontId="1" type="noConversion"/>
  </si>
  <si>
    <t>企业自用光伏电价</t>
    <phoneticPr fontId="1" type="noConversion"/>
  </si>
  <si>
    <t>按照目前用电规模及光伏电价</t>
    <phoneticPr fontId="1" type="noConversion"/>
  </si>
  <si>
    <t>按照目前上网电量及当前上网电价计算</t>
    <phoneticPr fontId="1" type="noConversion"/>
  </si>
  <si>
    <t>不含税金、项目备案、并网及运维费用</t>
    <phoneticPr fontId="1" type="noConversion"/>
  </si>
  <si>
    <t>投资回收年限</t>
    <phoneticPr fontId="1" type="noConversion"/>
  </si>
  <si>
    <t>kwp</t>
    <phoneticPr fontId="1" type="noConversion"/>
  </si>
  <si>
    <t>预计发电成本，不含运维费用及其他费用</t>
    <phoneticPr fontId="1" type="noConversion"/>
  </si>
  <si>
    <t>发电量:万度</t>
    <phoneticPr fontId="1" type="noConversion"/>
  </si>
  <si>
    <t>用电量:万度</t>
    <phoneticPr fontId="1" type="noConversion"/>
  </si>
  <si>
    <t>电费收益:万元</t>
    <phoneticPr fontId="1" type="noConversion"/>
  </si>
  <si>
    <t>节约电费:万元</t>
    <phoneticPr fontId="1" type="noConversion"/>
  </si>
  <si>
    <t>电价为暂估数</t>
    <phoneticPr fontId="1" type="noConversion"/>
  </si>
  <si>
    <t>每年度平均发电效率衰减</t>
    <phoneticPr fontId="1" type="noConversion"/>
  </si>
  <si>
    <t>白天电量X（电网电价-光伏电价）</t>
    <phoneticPr fontId="1" type="noConversion"/>
  </si>
  <si>
    <t>25年项目业主综合收益</t>
    <phoneticPr fontId="1" type="noConversion"/>
  </si>
  <si>
    <t>如果项目业主免收屋顶租金，直供光伏电价可以优惠折扣</t>
    <phoneticPr fontId="1" type="noConversion"/>
  </si>
  <si>
    <t>自发自用需要屋顶面积</t>
    <phoneticPr fontId="1" type="noConversion"/>
  </si>
  <si>
    <t>年度白天用电量÷单位面积发电量</t>
    <phoneticPr fontId="1" type="noConversion"/>
  </si>
  <si>
    <t>发电量-白天用电量</t>
    <phoneticPr fontId="1" type="noConversion"/>
  </si>
  <si>
    <t>如不足，增容费另计</t>
    <phoneticPr fontId="1" type="noConversion"/>
  </si>
  <si>
    <t>白天自用电量÷发电量</t>
    <phoneticPr fontId="1" type="noConversion"/>
  </si>
  <si>
    <t>白天用电消纳比例</t>
    <phoneticPr fontId="1" type="noConversion"/>
  </si>
  <si>
    <t>业主综合效益</t>
    <phoneticPr fontId="1" type="noConversion"/>
  </si>
  <si>
    <t>企业屋顶租金收益</t>
    <phoneticPr fontId="1" type="noConversion"/>
  </si>
  <si>
    <t>上述四项之和</t>
    <phoneticPr fontId="1" type="noConversion"/>
  </si>
  <si>
    <t>租金分摊电价</t>
    <phoneticPr fontId="1" type="noConversion"/>
  </si>
  <si>
    <t>绿色字体内容可根据实际情况修改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</si>
</sst>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¥&quot;#,##0.00;&quot;¥&quot;\-#,##0.00"/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&quot;¥&quot;#,##0.000;&quot;¥&quot;\-#,##0.000"/>
    <numFmt numFmtId="179" formatCode="#,##0_ "/>
  </numFmts>
  <fonts count="1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40404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40404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40404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rgb="FF40404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b/>
      <sz val="11"/>
      <color rgb="FF00B05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8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7" fontId="12" fillId="5" borderId="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1" fontId="12" fillId="5" borderId="1" xfId="0" applyNumberFormat="1" applyFont="1" applyFill="1" applyBorder="1" applyAlignment="1">
      <alignment horizontal="right" vertical="center" wrapText="1" indent="2"/>
    </xf>
    <xf numFmtId="176" fontId="12" fillId="5" borderId="1" xfId="0" applyNumberFormat="1" applyFont="1" applyFill="1" applyBorder="1" applyAlignment="1">
      <alignment horizontal="center" vertical="center" wrapText="1"/>
    </xf>
    <xf numFmtId="9" fontId="12" fillId="5" borderId="1" xfId="0" applyNumberFormat="1" applyFont="1" applyFill="1" applyBorder="1" applyAlignment="1">
      <alignment horizontal="center"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42" fontId="12" fillId="5" borderId="1" xfId="0" applyNumberFormat="1" applyFont="1" applyFill="1" applyBorder="1" applyAlignment="1">
      <alignment horizontal="right" vertical="center" wrapText="1" indent="2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0" applyNumberFormat="1" applyFont="1" applyBorder="1" applyAlignment="1">
      <alignment horizontal="center" vertical="center" shrinkToFit="1"/>
    </xf>
    <xf numFmtId="7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center" vertical="center" shrinkToFit="1"/>
    </xf>
    <xf numFmtId="43" fontId="14" fillId="0" borderId="0" xfId="0" applyNumberFormat="1" applyFont="1" applyAlignment="1">
      <alignment horizontal="center" vertical="center"/>
    </xf>
    <xf numFmtId="42" fontId="14" fillId="0" borderId="0" xfId="0" applyNumberFormat="1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176" fontId="11" fillId="7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179" fontId="12" fillId="5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 indent="1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7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78" fontId="15" fillId="5" borderId="1" xfId="0" applyNumberFormat="1" applyFont="1" applyFill="1" applyBorder="1" applyAlignment="1">
      <alignment horizontal="center" vertical="center" wrapText="1"/>
    </xf>
    <xf numFmtId="7" fontId="15" fillId="5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 wrapText="1"/>
    </xf>
    <xf numFmtId="10" fontId="15" fillId="5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 shrinkToFi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Border="1" applyAlignment="1">
      <alignment horizontal="center" vertical="center" shrinkToFit="1"/>
    </xf>
    <xf numFmtId="0" fontId="12" fillId="0" borderId="1" xfId="0" applyNumberFormat="1" applyFont="1" applyBorder="1" applyAlignment="1">
      <alignment horizontal="center" vertical="center" shrinkToFit="1"/>
    </xf>
    <xf numFmtId="0" fontId="15" fillId="5" borderId="1" xfId="0" applyNumberFormat="1" applyFont="1" applyFill="1" applyBorder="1" applyAlignment="1">
      <alignment horizontal="center" vertical="center" shrinkToFit="1"/>
    </xf>
    <xf numFmtId="0" fontId="11" fillId="3" borderId="1" xfId="0" applyNumberFormat="1" applyFont="1" applyFill="1" applyBorder="1" applyAlignment="1">
      <alignment horizontal="center" vertical="center" shrinkToFit="1"/>
    </xf>
    <xf numFmtId="0" fontId="12" fillId="5" borderId="1" xfId="0" applyNumberFormat="1" applyFont="1" applyFill="1" applyBorder="1" applyAlignment="1">
      <alignment horizontal="center" vertical="center" shrinkToFit="1"/>
    </xf>
    <xf numFmtId="0" fontId="11" fillId="7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rgbClr val="0070C0"/>
                </a:solidFill>
              </a:rPr>
              <a:t>发电量及用电量、电费收益、业主综合收益测算分析图表</a:t>
            </a:r>
          </a:p>
        </c:rich>
      </c:tx>
      <c:layout>
        <c:manualLayout>
          <c:xMode val="edge"/>
          <c:yMode val="edge"/>
          <c:x val="0.27634852781168573"/>
          <c:y val="5.33767919532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561263017087623"/>
          <c:y val="0.17118647750730506"/>
          <c:w val="0.8182915509135591"/>
          <c:h val="0.61794337799278354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测算!$P$5</c:f>
              <c:strCache>
                <c:ptCount val="1"/>
                <c:pt idx="0">
                  <c:v>用电量:万度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测算!$Q$5:$AO$5</c:f>
              <c:numCache>
                <c:formatCode>_(* #,##0_);_(* \(#,##0\);_(* "-"_);_(@_)</c:formatCode>
                <c:ptCount val="2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B61-B4A7-EB47C95B2DE6}"/>
            </c:ext>
          </c:extLst>
        </c:ser>
        <c:ser>
          <c:idx val="1"/>
          <c:order val="1"/>
          <c:tx>
            <c:strRef>
              <c:f>测算!$P$4</c:f>
              <c:strCache>
                <c:ptCount val="1"/>
                <c:pt idx="0">
                  <c:v>发电量:万度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测算!$Q$4:$AO$4</c:f>
              <c:numCache>
                <c:formatCode>_(* #,##0_);_(* \(#,##0\);_(* "-"_);_(@_)</c:formatCode>
                <c:ptCount val="25"/>
                <c:pt idx="0">
                  <c:v>117.37</c:v>
                </c:pt>
                <c:pt idx="1">
                  <c:v>116.72446500000001</c:v>
                </c:pt>
                <c:pt idx="2">
                  <c:v>116.08248044250001</c:v>
                </c:pt>
                <c:pt idx="3">
                  <c:v>115.44402680006627</c:v>
                </c:pt>
                <c:pt idx="4">
                  <c:v>114.80908465266592</c:v>
                </c:pt>
                <c:pt idx="5">
                  <c:v>114.17763468707626</c:v>
                </c:pt>
                <c:pt idx="6">
                  <c:v>113.54965769629734</c:v>
                </c:pt>
                <c:pt idx="7">
                  <c:v>112.92513457896771</c:v>
                </c:pt>
                <c:pt idx="8">
                  <c:v>112.30404633878339</c:v>
                </c:pt>
                <c:pt idx="9">
                  <c:v>111.68637408392009</c:v>
                </c:pt>
                <c:pt idx="10">
                  <c:v>111.07209902645853</c:v>
                </c:pt>
                <c:pt idx="11">
                  <c:v>110.46120248181302</c:v>
                </c:pt>
                <c:pt idx="12">
                  <c:v>109.85366586816305</c:v>
                </c:pt>
                <c:pt idx="13">
                  <c:v>109.24947070588816</c:v>
                </c:pt>
                <c:pt idx="14">
                  <c:v>108.64859861700577</c:v>
                </c:pt>
                <c:pt idx="15">
                  <c:v>108.05103132461225</c:v>
                </c:pt>
                <c:pt idx="16">
                  <c:v>107.45675065232689</c:v>
                </c:pt>
                <c:pt idx="17">
                  <c:v>106.8657385237391</c:v>
                </c:pt>
                <c:pt idx="18">
                  <c:v>106.27797696185854</c:v>
                </c:pt>
                <c:pt idx="19">
                  <c:v>105.69344808856833</c:v>
                </c:pt>
                <c:pt idx="20">
                  <c:v>105.11213412408121</c:v>
                </c:pt>
                <c:pt idx="21">
                  <c:v>104.53401738639877</c:v>
                </c:pt>
                <c:pt idx="22">
                  <c:v>103.95908029077358</c:v>
                </c:pt>
                <c:pt idx="23">
                  <c:v>103.38730534917434</c:v>
                </c:pt>
                <c:pt idx="24">
                  <c:v>102.81867516975389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7-4B61-B4A7-EB47C95B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90040"/>
        <c:axId val="521390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测算!$P$3</c15:sqref>
                        </c15:formulaRef>
                      </c:ext>
                    </c:extLst>
                    <c:strCache>
                      <c:ptCount val="1"/>
                      <c:pt idx="0">
                        <c:v>年度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测算!$Q$3:$AO$3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FC7-4B61-B4A7-EB47C95B2D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测算!$P$7</c:f>
              <c:strCache>
                <c:ptCount val="1"/>
                <c:pt idx="0">
                  <c:v>电费收益:万元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测算!$Q$7:$AO$7</c:f>
              <c:numCache>
                <c:formatCode>0.00_ </c:formatCode>
                <c:ptCount val="25"/>
                <c:pt idx="0">
                  <c:v>63.210999999999999</c:v>
                </c:pt>
                <c:pt idx="1">
                  <c:v>63.017339500000006</c:v>
                </c:pt>
                <c:pt idx="2">
                  <c:v>62.824744132750006</c:v>
                </c:pt>
                <c:pt idx="3">
                  <c:v>62.633208040019881</c:v>
                </c:pt>
                <c:pt idx="4">
                  <c:v>62.442725395799776</c:v>
                </c:pt>
                <c:pt idx="5">
                  <c:v>62.253290406122879</c:v>
                </c:pt>
                <c:pt idx="6">
                  <c:v>72.464897308889206</c:v>
                </c:pt>
                <c:pt idx="7">
                  <c:v>72.277540373690314</c:v>
                </c:pt>
                <c:pt idx="8">
                  <c:v>72.09121390163503</c:v>
                </c:pt>
                <c:pt idx="9">
                  <c:v>71.905912225176024</c:v>
                </c:pt>
                <c:pt idx="10">
                  <c:v>71.721629707937566</c:v>
                </c:pt>
                <c:pt idx="11">
                  <c:v>71.538360744543908</c:v>
                </c:pt>
                <c:pt idx="12">
                  <c:v>71.356099760448927</c:v>
                </c:pt>
                <c:pt idx="13">
                  <c:v>71.174841211766449</c:v>
                </c:pt>
                <c:pt idx="14">
                  <c:v>70.994579585101732</c:v>
                </c:pt>
                <c:pt idx="15">
                  <c:v>70.815309397383686</c:v>
                </c:pt>
                <c:pt idx="16">
                  <c:v>70.637025195698072</c:v>
                </c:pt>
                <c:pt idx="17">
                  <c:v>70.459721557121739</c:v>
                </c:pt>
                <c:pt idx="18">
                  <c:v>70.283393088557574</c:v>
                </c:pt>
                <c:pt idx="19">
                  <c:v>70.108034426570498</c:v>
                </c:pt>
                <c:pt idx="20">
                  <c:v>69.933640237224367</c:v>
                </c:pt>
                <c:pt idx="21">
                  <c:v>69.76020521591964</c:v>
                </c:pt>
                <c:pt idx="22">
                  <c:v>69.587724087232075</c:v>
                </c:pt>
                <c:pt idx="23">
                  <c:v>69.416191604752314</c:v>
                </c:pt>
                <c:pt idx="24">
                  <c:v>69.245602550926179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7-4B61-B4A7-EB47C95B2DE6}"/>
            </c:ext>
          </c:extLst>
        </c:ser>
        <c:ser>
          <c:idx val="2"/>
          <c:order val="4"/>
          <c:tx>
            <c:strRef>
              <c:f>测算!$P$12</c:f>
              <c:strCache>
                <c:ptCount val="1"/>
                <c:pt idx="0">
                  <c:v>业主综合效益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测算!$Q$12:$AO$12</c:f>
              <c:numCache>
                <c:formatCode>0.00_ </c:formatCode>
                <c:ptCount val="25"/>
                <c:pt idx="0">
                  <c:v>25.258099999999999</c:v>
                </c:pt>
                <c:pt idx="1">
                  <c:v>25.174180450000001</c:v>
                </c:pt>
                <c:pt idx="2">
                  <c:v>25.090722457525004</c:v>
                </c:pt>
                <c:pt idx="3">
                  <c:v>25.007723484008615</c:v>
                </c:pt>
                <c:pt idx="4">
                  <c:v>24.925181004846571</c:v>
                </c:pt>
                <c:pt idx="5">
                  <c:v>24.843092509319916</c:v>
                </c:pt>
                <c:pt idx="6">
                  <c:v>82.529794617778407</c:v>
                </c:pt>
                <c:pt idx="7">
                  <c:v>82.155080747380623</c:v>
                </c:pt>
                <c:pt idx="8">
                  <c:v>81.782427803270053</c:v>
                </c:pt>
                <c:pt idx="9">
                  <c:v>81.411824450352043</c:v>
                </c:pt>
                <c:pt idx="10">
                  <c:v>81.043259415875127</c:v>
                </c:pt>
                <c:pt idx="11">
                  <c:v>80.676721489087811</c:v>
                </c:pt>
                <c:pt idx="12">
                  <c:v>80.312199520897849</c:v>
                </c:pt>
                <c:pt idx="13">
                  <c:v>79.949682423532892</c:v>
                </c:pt>
                <c:pt idx="14">
                  <c:v>79.589159170203459</c:v>
                </c:pt>
                <c:pt idx="15">
                  <c:v>79.230618794767366</c:v>
                </c:pt>
                <c:pt idx="16">
                  <c:v>78.874050391396139</c:v>
                </c:pt>
                <c:pt idx="17">
                  <c:v>78.519443114243472</c:v>
                </c:pt>
                <c:pt idx="18">
                  <c:v>78.166786177115142</c:v>
                </c:pt>
                <c:pt idx="19">
                  <c:v>77.81606885314099</c:v>
                </c:pt>
                <c:pt idx="20">
                  <c:v>77.467280474448728</c:v>
                </c:pt>
                <c:pt idx="21">
                  <c:v>77.120410431839275</c:v>
                </c:pt>
                <c:pt idx="22">
                  <c:v>76.775448174464145</c:v>
                </c:pt>
                <c:pt idx="23">
                  <c:v>76.432383209504621</c:v>
                </c:pt>
                <c:pt idx="24">
                  <c:v>76.091205101852353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C7-4B61-B4A7-EB47C95B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90040"/>
        <c:axId val="521390696"/>
      </c:lineChart>
      <c:catAx>
        <c:axId val="521390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1390696"/>
        <c:crosses val="autoZero"/>
        <c:auto val="1"/>
        <c:lblAlgn val="ctr"/>
        <c:lblOffset val="100"/>
        <c:noMultiLvlLbl val="0"/>
      </c:catAx>
      <c:valAx>
        <c:axId val="52139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发电量 </a:t>
                </a:r>
                <a:r>
                  <a:rPr lang="en-US" altLang="zh-CN"/>
                  <a:t>| </a:t>
                </a:r>
                <a:r>
                  <a:rPr lang="zh-CN" altLang="en-US"/>
                  <a:t>用电量 </a:t>
                </a:r>
                <a:r>
                  <a:rPr lang="en-US" altLang="zh-CN"/>
                  <a:t>| </a:t>
                </a:r>
                <a:r>
                  <a:rPr lang="zh-CN" altLang="en-US"/>
                  <a:t>电费收益 </a:t>
                </a:r>
                <a:r>
                  <a:rPr lang="en-US" altLang="zh-CN"/>
                  <a:t>| </a:t>
                </a:r>
                <a:r>
                  <a:rPr lang="zh-CN" altLang="en-US"/>
                  <a:t>业主综合收益</a:t>
                </a:r>
              </a:p>
            </c:rich>
          </c:tx>
          <c:layout>
            <c:manualLayout>
              <c:xMode val="edge"/>
              <c:yMode val="edge"/>
              <c:x val="7.7671318188768934E-2"/>
              <c:y val="0.20503319438011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1390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14286</xdr:colOff>
      <xdr:row>13</xdr:row>
      <xdr:rowOff>133350</xdr:rowOff>
    </xdr:from>
    <xdr:to>
      <xdr:col>41</xdr:col>
      <xdr:colOff>0</xdr:colOff>
      <xdr:row>34</xdr:row>
      <xdr:rowOff>257175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A357A15-F2E4-4C27-BFF8-96E11F56D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543C-06FE-4CA7-B069-977415FBB4ED}">
  <dimension ref="A1:AO36"/>
  <sheetViews>
    <sheetView showGridLines="0" showZeros="0" tabSelected="1" topLeftCell="G2" workbookViewId="0">
      <selection activeCell="R13" sqref="R13"/>
    </sheetView>
  </sheetViews>
  <sheetFormatPr defaultRowHeight="21" customHeight="1" x14ac:dyDescent="0.2"/>
  <cols>
    <col min="1" max="2" width="5.25" style="5" hidden="1" customWidth="1"/>
    <col min="3" max="3" width="18.875" style="8" hidden="1" customWidth="1"/>
    <col min="4" max="4" width="11.75" style="2" hidden="1" customWidth="1"/>
    <col min="5" max="5" width="8.375" style="4" hidden="1" customWidth="1"/>
    <col min="6" max="6" width="28.875" style="4" hidden="1" customWidth="1"/>
    <col min="7" max="7" width="2.375" style="5" customWidth="1"/>
    <col min="8" max="8" width="15.875" style="104" customWidth="1"/>
    <col min="9" max="9" width="8.125" style="16" customWidth="1"/>
    <col min="10" max="10" width="8.875" style="95" customWidth="1"/>
    <col min="11" max="11" width="13" style="17" customWidth="1"/>
    <col min="12" max="12" width="5.875" style="16" customWidth="1"/>
    <col min="13" max="13" width="8.875" style="16" customWidth="1"/>
    <col min="14" max="14" width="19.25" style="16" customWidth="1"/>
    <col min="15" max="15" width="2.75" style="5" customWidth="1"/>
    <col min="16" max="16" width="13.625" style="30" customWidth="1"/>
    <col min="17" max="41" width="5.375" style="30" customWidth="1"/>
    <col min="42" max="16384" width="9" style="5"/>
  </cols>
  <sheetData>
    <row r="1" spans="2:41" ht="21" hidden="1" customHeight="1" x14ac:dyDescent="0.2">
      <c r="B1" s="53" t="s">
        <v>53</v>
      </c>
      <c r="C1" s="53"/>
      <c r="D1" s="53"/>
      <c r="E1" s="53"/>
      <c r="F1" s="53"/>
    </row>
    <row r="2" spans="2:41" ht="21" customHeight="1" x14ac:dyDescent="0.2">
      <c r="B2" s="54"/>
      <c r="C2" s="54"/>
      <c r="D2" s="54"/>
      <c r="E2" s="54"/>
      <c r="F2" s="54"/>
    </row>
    <row r="3" spans="2:41" ht="21" customHeight="1" x14ac:dyDescent="0.2">
      <c r="B3" s="55" t="s">
        <v>54</v>
      </c>
      <c r="C3" s="6" t="s">
        <v>48</v>
      </c>
      <c r="D3" s="58" t="s">
        <v>51</v>
      </c>
      <c r="E3" s="59"/>
      <c r="F3" s="60"/>
      <c r="H3" s="61" t="s">
        <v>69</v>
      </c>
      <c r="I3" s="62"/>
      <c r="J3" s="62"/>
      <c r="K3" s="62"/>
      <c r="L3" s="62"/>
      <c r="M3" s="62"/>
      <c r="N3" s="63"/>
      <c r="P3" s="38" t="s">
        <v>94</v>
      </c>
      <c r="Q3" s="38">
        <v>1</v>
      </c>
      <c r="R3" s="38">
        <v>2</v>
      </c>
      <c r="S3" s="38">
        <v>3</v>
      </c>
      <c r="T3" s="38">
        <v>4</v>
      </c>
      <c r="U3" s="38">
        <v>5</v>
      </c>
      <c r="V3" s="38">
        <v>6</v>
      </c>
      <c r="W3" s="38">
        <v>7</v>
      </c>
      <c r="X3" s="38">
        <v>8</v>
      </c>
      <c r="Y3" s="38">
        <v>9</v>
      </c>
      <c r="Z3" s="38">
        <v>10</v>
      </c>
      <c r="AA3" s="38">
        <v>11</v>
      </c>
      <c r="AB3" s="38">
        <v>12</v>
      </c>
      <c r="AC3" s="38">
        <v>13</v>
      </c>
      <c r="AD3" s="38">
        <v>14</v>
      </c>
      <c r="AE3" s="38">
        <v>15</v>
      </c>
      <c r="AF3" s="38">
        <v>16</v>
      </c>
      <c r="AG3" s="38">
        <v>17</v>
      </c>
      <c r="AH3" s="38">
        <v>18</v>
      </c>
      <c r="AI3" s="38">
        <v>19</v>
      </c>
      <c r="AJ3" s="38">
        <v>20</v>
      </c>
      <c r="AK3" s="38">
        <v>21</v>
      </c>
      <c r="AL3" s="38">
        <v>22</v>
      </c>
      <c r="AM3" s="38">
        <v>23</v>
      </c>
      <c r="AN3" s="38">
        <v>24</v>
      </c>
      <c r="AO3" s="38">
        <v>25</v>
      </c>
    </row>
    <row r="4" spans="2:41" ht="21" customHeight="1" x14ac:dyDescent="0.2">
      <c r="B4" s="56"/>
      <c r="C4" s="6"/>
      <c r="D4" s="40"/>
      <c r="E4" s="41"/>
      <c r="F4" s="42"/>
      <c r="H4" s="18" t="s">
        <v>65</v>
      </c>
      <c r="I4" s="18" t="s">
        <v>64</v>
      </c>
      <c r="J4" s="96" t="s">
        <v>63</v>
      </c>
      <c r="K4" s="18" t="s">
        <v>65</v>
      </c>
      <c r="L4" s="18" t="s">
        <v>64</v>
      </c>
      <c r="M4" s="18" t="s">
        <v>63</v>
      </c>
      <c r="N4" s="18" t="s">
        <v>101</v>
      </c>
      <c r="P4" s="31" t="s">
        <v>112</v>
      </c>
      <c r="Q4" s="32">
        <f>K13/10000</f>
        <v>117.37</v>
      </c>
      <c r="R4" s="32">
        <f>Q4*(1-$K$25)</f>
        <v>116.72446500000001</v>
      </c>
      <c r="S4" s="32">
        <f t="shared" ref="S4:AO4" si="0">R4*(1-$K$25)</f>
        <v>116.08248044250001</v>
      </c>
      <c r="T4" s="32">
        <f t="shared" si="0"/>
        <v>115.44402680006627</v>
      </c>
      <c r="U4" s="32">
        <f t="shared" si="0"/>
        <v>114.80908465266592</v>
      </c>
      <c r="V4" s="32">
        <f t="shared" si="0"/>
        <v>114.17763468707626</v>
      </c>
      <c r="W4" s="32">
        <f t="shared" si="0"/>
        <v>113.54965769629734</v>
      </c>
      <c r="X4" s="32">
        <f t="shared" si="0"/>
        <v>112.92513457896771</v>
      </c>
      <c r="Y4" s="32">
        <f t="shared" si="0"/>
        <v>112.30404633878339</v>
      </c>
      <c r="Z4" s="32">
        <f t="shared" si="0"/>
        <v>111.68637408392009</v>
      </c>
      <c r="AA4" s="32">
        <f t="shared" si="0"/>
        <v>111.07209902645853</v>
      </c>
      <c r="AB4" s="32">
        <f t="shared" si="0"/>
        <v>110.46120248181302</v>
      </c>
      <c r="AC4" s="32">
        <f t="shared" si="0"/>
        <v>109.85366586816305</v>
      </c>
      <c r="AD4" s="32">
        <f t="shared" si="0"/>
        <v>109.24947070588816</v>
      </c>
      <c r="AE4" s="32">
        <f t="shared" si="0"/>
        <v>108.64859861700577</v>
      </c>
      <c r="AF4" s="32">
        <f t="shared" si="0"/>
        <v>108.05103132461225</v>
      </c>
      <c r="AG4" s="32">
        <f t="shared" si="0"/>
        <v>107.45675065232689</v>
      </c>
      <c r="AH4" s="32">
        <f t="shared" si="0"/>
        <v>106.8657385237391</v>
      </c>
      <c r="AI4" s="32">
        <f t="shared" si="0"/>
        <v>106.27797696185854</v>
      </c>
      <c r="AJ4" s="32">
        <f t="shared" si="0"/>
        <v>105.69344808856833</v>
      </c>
      <c r="AK4" s="32">
        <f t="shared" si="0"/>
        <v>105.11213412408121</v>
      </c>
      <c r="AL4" s="32">
        <f t="shared" si="0"/>
        <v>104.53401738639877</v>
      </c>
      <c r="AM4" s="32">
        <f t="shared" si="0"/>
        <v>103.95908029077358</v>
      </c>
      <c r="AN4" s="32">
        <f t="shared" si="0"/>
        <v>103.38730534917434</v>
      </c>
      <c r="AO4" s="32">
        <f t="shared" si="0"/>
        <v>102.81867516975389</v>
      </c>
    </row>
    <row r="5" spans="2:41" ht="21" customHeight="1" x14ac:dyDescent="0.2">
      <c r="B5" s="56"/>
      <c r="C5" s="6" t="s">
        <v>49</v>
      </c>
      <c r="D5" s="58" t="s">
        <v>52</v>
      </c>
      <c r="E5" s="59"/>
      <c r="F5" s="60"/>
      <c r="H5" s="103" t="s">
        <v>56</v>
      </c>
      <c r="I5" s="19" t="s">
        <v>66</v>
      </c>
      <c r="J5" s="97">
        <v>20000</v>
      </c>
      <c r="K5" s="103" t="s">
        <v>57</v>
      </c>
      <c r="L5" s="19" t="s">
        <v>46</v>
      </c>
      <c r="M5" s="88">
        <v>0.8</v>
      </c>
      <c r="N5" s="20" t="s">
        <v>58</v>
      </c>
      <c r="P5" s="31" t="s">
        <v>113</v>
      </c>
      <c r="Q5" s="32">
        <f>$J$9/10000</f>
        <v>80</v>
      </c>
      <c r="R5" s="32">
        <f t="shared" ref="R5:AO5" si="1">$J$9/10000</f>
        <v>80</v>
      </c>
      <c r="S5" s="32">
        <f t="shared" si="1"/>
        <v>80</v>
      </c>
      <c r="T5" s="32">
        <f t="shared" si="1"/>
        <v>80</v>
      </c>
      <c r="U5" s="32">
        <f t="shared" si="1"/>
        <v>80</v>
      </c>
      <c r="V5" s="32">
        <f t="shared" si="1"/>
        <v>80</v>
      </c>
      <c r="W5" s="32">
        <f t="shared" si="1"/>
        <v>80</v>
      </c>
      <c r="X5" s="32">
        <f t="shared" si="1"/>
        <v>80</v>
      </c>
      <c r="Y5" s="32">
        <f t="shared" si="1"/>
        <v>80</v>
      </c>
      <c r="Z5" s="32">
        <f t="shared" si="1"/>
        <v>80</v>
      </c>
      <c r="AA5" s="32">
        <f t="shared" si="1"/>
        <v>80</v>
      </c>
      <c r="AB5" s="32">
        <f t="shared" si="1"/>
        <v>80</v>
      </c>
      <c r="AC5" s="32">
        <f t="shared" si="1"/>
        <v>80</v>
      </c>
      <c r="AD5" s="32">
        <f t="shared" si="1"/>
        <v>80</v>
      </c>
      <c r="AE5" s="32">
        <f t="shared" si="1"/>
        <v>80</v>
      </c>
      <c r="AF5" s="32">
        <f t="shared" si="1"/>
        <v>80</v>
      </c>
      <c r="AG5" s="32">
        <f t="shared" si="1"/>
        <v>80</v>
      </c>
      <c r="AH5" s="32">
        <f t="shared" si="1"/>
        <v>80</v>
      </c>
      <c r="AI5" s="32">
        <f t="shared" si="1"/>
        <v>80</v>
      </c>
      <c r="AJ5" s="32">
        <f t="shared" si="1"/>
        <v>80</v>
      </c>
      <c r="AK5" s="32">
        <f t="shared" si="1"/>
        <v>80</v>
      </c>
      <c r="AL5" s="32">
        <f t="shared" si="1"/>
        <v>80</v>
      </c>
      <c r="AM5" s="32">
        <f t="shared" si="1"/>
        <v>80</v>
      </c>
      <c r="AN5" s="32">
        <f t="shared" si="1"/>
        <v>80</v>
      </c>
      <c r="AO5" s="32">
        <f t="shared" si="1"/>
        <v>80</v>
      </c>
    </row>
    <row r="6" spans="2:41" s="4" customFormat="1" ht="21" customHeight="1" x14ac:dyDescent="0.2">
      <c r="B6" s="56"/>
      <c r="C6" s="9" t="s">
        <v>0</v>
      </c>
      <c r="D6" s="10" t="s">
        <v>50</v>
      </c>
      <c r="E6" s="9" t="s">
        <v>1</v>
      </c>
      <c r="F6" s="9" t="s">
        <v>2</v>
      </c>
      <c r="H6" s="103" t="s">
        <v>59</v>
      </c>
      <c r="I6" s="19" t="s">
        <v>66</v>
      </c>
      <c r="J6" s="98">
        <f>J5*M5</f>
        <v>16000</v>
      </c>
      <c r="K6" s="103" t="s">
        <v>71</v>
      </c>
      <c r="L6" s="19" t="s">
        <v>70</v>
      </c>
      <c r="M6" s="87">
        <v>1100</v>
      </c>
      <c r="N6" s="20" t="s">
        <v>60</v>
      </c>
      <c r="P6" s="31" t="s">
        <v>99</v>
      </c>
      <c r="Q6" s="33">
        <f>$K$30</f>
        <v>0.65</v>
      </c>
      <c r="R6" s="33">
        <f t="shared" ref="R6:AO6" si="2">$K$30</f>
        <v>0.65</v>
      </c>
      <c r="S6" s="33">
        <f t="shared" si="2"/>
        <v>0.65</v>
      </c>
      <c r="T6" s="33">
        <f t="shared" si="2"/>
        <v>0.65</v>
      </c>
      <c r="U6" s="33">
        <f t="shared" si="2"/>
        <v>0.65</v>
      </c>
      <c r="V6" s="33">
        <f t="shared" si="2"/>
        <v>0.65</v>
      </c>
      <c r="W6" s="33">
        <f t="shared" si="2"/>
        <v>0.65</v>
      </c>
      <c r="X6" s="33">
        <f t="shared" si="2"/>
        <v>0.65</v>
      </c>
      <c r="Y6" s="33">
        <f t="shared" si="2"/>
        <v>0.65</v>
      </c>
      <c r="Z6" s="33">
        <f t="shared" si="2"/>
        <v>0.65</v>
      </c>
      <c r="AA6" s="33">
        <f t="shared" si="2"/>
        <v>0.65</v>
      </c>
      <c r="AB6" s="33">
        <f t="shared" si="2"/>
        <v>0.65</v>
      </c>
      <c r="AC6" s="33">
        <f t="shared" si="2"/>
        <v>0.65</v>
      </c>
      <c r="AD6" s="33">
        <f t="shared" si="2"/>
        <v>0.65</v>
      </c>
      <c r="AE6" s="33">
        <f t="shared" si="2"/>
        <v>0.65</v>
      </c>
      <c r="AF6" s="33">
        <f t="shared" si="2"/>
        <v>0.65</v>
      </c>
      <c r="AG6" s="33">
        <f t="shared" si="2"/>
        <v>0.65</v>
      </c>
      <c r="AH6" s="33">
        <f t="shared" si="2"/>
        <v>0.65</v>
      </c>
      <c r="AI6" s="33">
        <f t="shared" si="2"/>
        <v>0.65</v>
      </c>
      <c r="AJ6" s="33">
        <f t="shared" si="2"/>
        <v>0.65</v>
      </c>
      <c r="AK6" s="33">
        <f t="shared" si="2"/>
        <v>0.65</v>
      </c>
      <c r="AL6" s="33">
        <f t="shared" si="2"/>
        <v>0.65</v>
      </c>
      <c r="AM6" s="33">
        <f t="shared" si="2"/>
        <v>0.65</v>
      </c>
      <c r="AN6" s="33">
        <f t="shared" si="2"/>
        <v>0.65</v>
      </c>
      <c r="AO6" s="33">
        <f t="shared" si="2"/>
        <v>0.65</v>
      </c>
    </row>
    <row r="7" spans="2:41" ht="21" customHeight="1" x14ac:dyDescent="0.2">
      <c r="B7" s="56"/>
      <c r="C7" s="7" t="s">
        <v>3</v>
      </c>
      <c r="D7" s="1">
        <v>20000</v>
      </c>
      <c r="E7" s="3" t="s">
        <v>4</v>
      </c>
      <c r="F7" s="3" t="s">
        <v>5</v>
      </c>
      <c r="H7" s="103" t="s">
        <v>95</v>
      </c>
      <c r="I7" s="19" t="s">
        <v>67</v>
      </c>
      <c r="J7" s="99">
        <v>0.78</v>
      </c>
      <c r="K7" s="103" t="s">
        <v>19</v>
      </c>
      <c r="L7" s="19" t="s">
        <v>67</v>
      </c>
      <c r="M7" s="89">
        <v>0.3</v>
      </c>
      <c r="N7" s="20" t="s">
        <v>116</v>
      </c>
      <c r="P7" s="31" t="s">
        <v>114</v>
      </c>
      <c r="Q7" s="34">
        <f>IF(COLUMN()-16&lt;=$K$26,IF(Q5&gt;Q4,Q11+Q4*Q6,Q11+Q5*Q6),IF(Q5&gt;Q4,Q11+Q4*Q6,Q11+Q5*Q8))</f>
        <v>63.210999999999999</v>
      </c>
      <c r="R7" s="34">
        <f t="shared" ref="R7:AO7" si="3">IF(COLUMN()-16&lt;=$K$26,IF(R5&gt;R4,R11+R4*R6,R11+R5*R6),IF(R5&gt;R4,R11+R4*R6,R11+R5*R8))</f>
        <v>63.017339500000006</v>
      </c>
      <c r="S7" s="34">
        <f t="shared" si="3"/>
        <v>62.824744132750006</v>
      </c>
      <c r="T7" s="34">
        <f t="shared" si="3"/>
        <v>62.633208040019881</v>
      </c>
      <c r="U7" s="34">
        <f t="shared" si="3"/>
        <v>62.442725395799776</v>
      </c>
      <c r="V7" s="34">
        <f t="shared" si="3"/>
        <v>62.253290406122879</v>
      </c>
      <c r="W7" s="34">
        <f t="shared" si="3"/>
        <v>72.464897308889206</v>
      </c>
      <c r="X7" s="34">
        <f t="shared" si="3"/>
        <v>72.277540373690314</v>
      </c>
      <c r="Y7" s="34">
        <f t="shared" si="3"/>
        <v>72.09121390163503</v>
      </c>
      <c r="Z7" s="34">
        <f t="shared" si="3"/>
        <v>71.905912225176024</v>
      </c>
      <c r="AA7" s="34">
        <f t="shared" si="3"/>
        <v>71.721629707937566</v>
      </c>
      <c r="AB7" s="34">
        <f t="shared" si="3"/>
        <v>71.538360744543908</v>
      </c>
      <c r="AC7" s="34">
        <f t="shared" si="3"/>
        <v>71.356099760448927</v>
      </c>
      <c r="AD7" s="34">
        <f t="shared" si="3"/>
        <v>71.174841211766449</v>
      </c>
      <c r="AE7" s="34">
        <f t="shared" si="3"/>
        <v>70.994579585101732</v>
      </c>
      <c r="AF7" s="34">
        <f t="shared" si="3"/>
        <v>70.815309397383686</v>
      </c>
      <c r="AG7" s="34">
        <f t="shared" si="3"/>
        <v>70.637025195698072</v>
      </c>
      <c r="AH7" s="34">
        <f t="shared" si="3"/>
        <v>70.459721557121739</v>
      </c>
      <c r="AI7" s="34">
        <f t="shared" si="3"/>
        <v>70.283393088557574</v>
      </c>
      <c r="AJ7" s="34">
        <f t="shared" si="3"/>
        <v>70.108034426570498</v>
      </c>
      <c r="AK7" s="34">
        <f t="shared" si="3"/>
        <v>69.933640237224367</v>
      </c>
      <c r="AL7" s="34">
        <f t="shared" si="3"/>
        <v>69.76020521591964</v>
      </c>
      <c r="AM7" s="34">
        <f t="shared" si="3"/>
        <v>69.587724087232075</v>
      </c>
      <c r="AN7" s="34">
        <f t="shared" si="3"/>
        <v>69.416191604752314</v>
      </c>
      <c r="AO7" s="34">
        <f t="shared" si="3"/>
        <v>69.245602550926179</v>
      </c>
    </row>
    <row r="8" spans="2:41" ht="21" customHeight="1" x14ac:dyDescent="0.2">
      <c r="B8" s="56"/>
      <c r="C8" s="7" t="s">
        <v>6</v>
      </c>
      <c r="D8" s="11">
        <v>0.7</v>
      </c>
      <c r="E8" s="3" t="s">
        <v>7</v>
      </c>
      <c r="F8" s="3" t="s">
        <v>8</v>
      </c>
      <c r="H8" s="103" t="s">
        <v>61</v>
      </c>
      <c r="I8" s="19" t="s">
        <v>68</v>
      </c>
      <c r="J8" s="97">
        <v>1000000</v>
      </c>
      <c r="K8" s="103" t="s">
        <v>14</v>
      </c>
      <c r="L8" s="19" t="s">
        <v>46</v>
      </c>
      <c r="M8" s="88">
        <v>0.8</v>
      </c>
      <c r="N8" s="20" t="s">
        <v>62</v>
      </c>
      <c r="P8" s="31" t="s">
        <v>100</v>
      </c>
      <c r="Q8" s="33">
        <f>$J$7</f>
        <v>0.78</v>
      </c>
      <c r="R8" s="33">
        <f t="shared" ref="R8:AO8" si="4">$J$7</f>
        <v>0.78</v>
      </c>
      <c r="S8" s="33">
        <f t="shared" si="4"/>
        <v>0.78</v>
      </c>
      <c r="T8" s="33">
        <f t="shared" si="4"/>
        <v>0.78</v>
      </c>
      <c r="U8" s="33">
        <f t="shared" si="4"/>
        <v>0.78</v>
      </c>
      <c r="V8" s="33">
        <f t="shared" si="4"/>
        <v>0.78</v>
      </c>
      <c r="W8" s="33">
        <f t="shared" si="4"/>
        <v>0.78</v>
      </c>
      <c r="X8" s="33">
        <f t="shared" si="4"/>
        <v>0.78</v>
      </c>
      <c r="Y8" s="33">
        <f t="shared" si="4"/>
        <v>0.78</v>
      </c>
      <c r="Z8" s="33">
        <f t="shared" si="4"/>
        <v>0.78</v>
      </c>
      <c r="AA8" s="33">
        <f t="shared" si="4"/>
        <v>0.78</v>
      </c>
      <c r="AB8" s="33">
        <f t="shared" si="4"/>
        <v>0.78</v>
      </c>
      <c r="AC8" s="33">
        <f t="shared" si="4"/>
        <v>0.78</v>
      </c>
      <c r="AD8" s="33">
        <f t="shared" si="4"/>
        <v>0.78</v>
      </c>
      <c r="AE8" s="33">
        <f t="shared" si="4"/>
        <v>0.78</v>
      </c>
      <c r="AF8" s="33">
        <f t="shared" si="4"/>
        <v>0.78</v>
      </c>
      <c r="AG8" s="33">
        <f t="shared" si="4"/>
        <v>0.78</v>
      </c>
      <c r="AH8" s="33">
        <f t="shared" si="4"/>
        <v>0.78</v>
      </c>
      <c r="AI8" s="33">
        <f t="shared" si="4"/>
        <v>0.78</v>
      </c>
      <c r="AJ8" s="33">
        <f t="shared" si="4"/>
        <v>0.78</v>
      </c>
      <c r="AK8" s="33">
        <f t="shared" si="4"/>
        <v>0.78</v>
      </c>
      <c r="AL8" s="33">
        <f t="shared" si="4"/>
        <v>0.78</v>
      </c>
      <c r="AM8" s="33">
        <f t="shared" si="4"/>
        <v>0.78</v>
      </c>
      <c r="AN8" s="33">
        <f t="shared" si="4"/>
        <v>0.78</v>
      </c>
      <c r="AO8" s="33">
        <f t="shared" si="4"/>
        <v>0.78</v>
      </c>
    </row>
    <row r="9" spans="2:41" ht="21" customHeight="1" x14ac:dyDescent="0.2">
      <c r="B9" s="56"/>
      <c r="C9" s="7" t="s">
        <v>55</v>
      </c>
      <c r="D9" s="1">
        <v>1100</v>
      </c>
      <c r="E9" s="3" t="s">
        <v>9</v>
      </c>
      <c r="F9" s="3" t="s">
        <v>10</v>
      </c>
      <c r="H9" s="103" t="s">
        <v>77</v>
      </c>
      <c r="I9" s="19" t="s">
        <v>68</v>
      </c>
      <c r="J9" s="98">
        <f>J8*M8</f>
        <v>800000</v>
      </c>
      <c r="K9" s="103" t="s">
        <v>78</v>
      </c>
      <c r="L9" s="91" t="s">
        <v>79</v>
      </c>
      <c r="M9" s="92"/>
      <c r="N9" s="22" t="s">
        <v>124</v>
      </c>
      <c r="P9" s="31" t="s">
        <v>115</v>
      </c>
      <c r="Q9" s="34">
        <f t="shared" ref="Q9:AO9" si="5">Q4*(Q8-Q6)</f>
        <v>15.258100000000001</v>
      </c>
      <c r="R9" s="34">
        <f t="shared" si="5"/>
        <v>15.174180450000001</v>
      </c>
      <c r="S9" s="34">
        <f t="shared" si="5"/>
        <v>15.090722457525002</v>
      </c>
      <c r="T9" s="34">
        <f t="shared" si="5"/>
        <v>15.007723484008615</v>
      </c>
      <c r="U9" s="34">
        <f t="shared" si="5"/>
        <v>14.92518100484657</v>
      </c>
      <c r="V9" s="34">
        <f t="shared" si="5"/>
        <v>14.843092509319915</v>
      </c>
      <c r="W9" s="34">
        <f t="shared" si="5"/>
        <v>14.761455500518656</v>
      </c>
      <c r="X9" s="34">
        <f t="shared" si="5"/>
        <v>14.680267495265804</v>
      </c>
      <c r="Y9" s="34">
        <f t="shared" si="5"/>
        <v>14.599526024041841</v>
      </c>
      <c r="Z9" s="34">
        <f t="shared" si="5"/>
        <v>14.519228630909611</v>
      </c>
      <c r="AA9" s="34">
        <f t="shared" si="5"/>
        <v>14.439372873439609</v>
      </c>
      <c r="AB9" s="34">
        <f t="shared" si="5"/>
        <v>14.359956322635693</v>
      </c>
      <c r="AC9" s="34">
        <f t="shared" si="5"/>
        <v>14.280976562861197</v>
      </c>
      <c r="AD9" s="34">
        <f t="shared" si="5"/>
        <v>14.202431191765461</v>
      </c>
      <c r="AE9" s="34">
        <f t="shared" si="5"/>
        <v>14.12431782021075</v>
      </c>
      <c r="AF9" s="34">
        <f t="shared" si="5"/>
        <v>14.046634072199593</v>
      </c>
      <c r="AG9" s="34">
        <f t="shared" si="5"/>
        <v>13.969377584802496</v>
      </c>
      <c r="AH9" s="34">
        <f t="shared" si="5"/>
        <v>13.892546008086082</v>
      </c>
      <c r="AI9" s="34">
        <f t="shared" si="5"/>
        <v>13.816137005041611</v>
      </c>
      <c r="AJ9" s="34">
        <f t="shared" si="5"/>
        <v>13.740148251513883</v>
      </c>
      <c r="AK9" s="34">
        <f t="shared" si="5"/>
        <v>13.664577436130557</v>
      </c>
      <c r="AL9" s="34">
        <f t="shared" si="5"/>
        <v>13.58942226023184</v>
      </c>
      <c r="AM9" s="34">
        <f t="shared" si="5"/>
        <v>13.514680437800566</v>
      </c>
      <c r="AN9" s="34">
        <f t="shared" si="5"/>
        <v>13.440349695392666</v>
      </c>
      <c r="AO9" s="34">
        <f t="shared" si="5"/>
        <v>13.366427772068006</v>
      </c>
    </row>
    <row r="10" spans="2:41" ht="21" customHeight="1" x14ac:dyDescent="0.2">
      <c r="B10" s="56"/>
      <c r="C10" s="7" t="s">
        <v>11</v>
      </c>
      <c r="D10" s="1">
        <v>300</v>
      </c>
      <c r="E10" s="3" t="s">
        <v>12</v>
      </c>
      <c r="F10" s="3" t="s">
        <v>13</v>
      </c>
      <c r="H10" s="61" t="s">
        <v>73</v>
      </c>
      <c r="I10" s="62"/>
      <c r="J10" s="62"/>
      <c r="K10" s="62"/>
      <c r="L10" s="62"/>
      <c r="M10" s="62"/>
      <c r="N10" s="63"/>
      <c r="P10" s="31" t="s">
        <v>103</v>
      </c>
      <c r="Q10" s="35">
        <f>$M$7</f>
        <v>0.3</v>
      </c>
      <c r="R10" s="35">
        <f t="shared" ref="R10:AO10" si="6">$M$7</f>
        <v>0.3</v>
      </c>
      <c r="S10" s="35">
        <f t="shared" si="6"/>
        <v>0.3</v>
      </c>
      <c r="T10" s="35">
        <f t="shared" si="6"/>
        <v>0.3</v>
      </c>
      <c r="U10" s="35">
        <f t="shared" si="6"/>
        <v>0.3</v>
      </c>
      <c r="V10" s="35">
        <f t="shared" si="6"/>
        <v>0.3</v>
      </c>
      <c r="W10" s="35">
        <f t="shared" si="6"/>
        <v>0.3</v>
      </c>
      <c r="X10" s="35">
        <f t="shared" si="6"/>
        <v>0.3</v>
      </c>
      <c r="Y10" s="35">
        <f t="shared" si="6"/>
        <v>0.3</v>
      </c>
      <c r="Z10" s="35">
        <f t="shared" si="6"/>
        <v>0.3</v>
      </c>
      <c r="AA10" s="35">
        <f t="shared" si="6"/>
        <v>0.3</v>
      </c>
      <c r="AB10" s="35">
        <f t="shared" si="6"/>
        <v>0.3</v>
      </c>
      <c r="AC10" s="35">
        <f t="shared" si="6"/>
        <v>0.3</v>
      </c>
      <c r="AD10" s="35">
        <f t="shared" si="6"/>
        <v>0.3</v>
      </c>
      <c r="AE10" s="35">
        <f t="shared" si="6"/>
        <v>0.3</v>
      </c>
      <c r="AF10" s="35">
        <f t="shared" si="6"/>
        <v>0.3</v>
      </c>
      <c r="AG10" s="35">
        <f t="shared" si="6"/>
        <v>0.3</v>
      </c>
      <c r="AH10" s="35">
        <f t="shared" si="6"/>
        <v>0.3</v>
      </c>
      <c r="AI10" s="35">
        <f t="shared" si="6"/>
        <v>0.3</v>
      </c>
      <c r="AJ10" s="35">
        <f t="shared" si="6"/>
        <v>0.3</v>
      </c>
      <c r="AK10" s="35">
        <f t="shared" si="6"/>
        <v>0.3</v>
      </c>
      <c r="AL10" s="35">
        <f t="shared" si="6"/>
        <v>0.3</v>
      </c>
      <c r="AM10" s="35">
        <f t="shared" si="6"/>
        <v>0.3</v>
      </c>
      <c r="AN10" s="35">
        <f t="shared" si="6"/>
        <v>0.3</v>
      </c>
      <c r="AO10" s="35">
        <f t="shared" si="6"/>
        <v>0.3</v>
      </c>
    </row>
    <row r="11" spans="2:41" ht="21" customHeight="1" x14ac:dyDescent="0.2">
      <c r="B11" s="56"/>
      <c r="C11" s="7" t="s">
        <v>14</v>
      </c>
      <c r="D11" s="12">
        <v>0.66669999999999996</v>
      </c>
      <c r="E11" s="3" t="s">
        <v>7</v>
      </c>
      <c r="F11" s="3" t="s">
        <v>15</v>
      </c>
      <c r="H11" s="64" t="s">
        <v>65</v>
      </c>
      <c r="I11" s="65"/>
      <c r="J11" s="100" t="s">
        <v>64</v>
      </c>
      <c r="K11" s="23" t="s">
        <v>63</v>
      </c>
      <c r="L11" s="66" t="s">
        <v>72</v>
      </c>
      <c r="M11" s="67"/>
      <c r="N11" s="68"/>
      <c r="P11" s="31" t="s">
        <v>104</v>
      </c>
      <c r="Q11" s="34">
        <f>IF((Q4-Q5)*Q10&lt;0,0,(Q4-Q5)*Q10)</f>
        <v>11.211</v>
      </c>
      <c r="R11" s="34">
        <f t="shared" ref="R11:AO11" si="7">IF((R4-R5)*R10&lt;0,0,(R4-R5)*R10)</f>
        <v>11.017339500000002</v>
      </c>
      <c r="S11" s="34">
        <f t="shared" si="7"/>
        <v>10.824744132750004</v>
      </c>
      <c r="T11" s="34">
        <f t="shared" si="7"/>
        <v>10.633208040019881</v>
      </c>
      <c r="U11" s="34">
        <f t="shared" si="7"/>
        <v>10.442725395799775</v>
      </c>
      <c r="V11" s="34">
        <f t="shared" si="7"/>
        <v>10.253290406122879</v>
      </c>
      <c r="W11" s="34">
        <f t="shared" si="7"/>
        <v>10.064897308889202</v>
      </c>
      <c r="X11" s="34">
        <f t="shared" si="7"/>
        <v>9.877540373690314</v>
      </c>
      <c r="Y11" s="34">
        <f t="shared" si="7"/>
        <v>9.6912139016350185</v>
      </c>
      <c r="Z11" s="34">
        <f t="shared" si="7"/>
        <v>9.5059122251760257</v>
      </c>
      <c r="AA11" s="34">
        <f t="shared" si="7"/>
        <v>9.321629707937559</v>
      </c>
      <c r="AB11" s="34">
        <f t="shared" si="7"/>
        <v>9.1383607445439043</v>
      </c>
      <c r="AC11" s="34">
        <f t="shared" si="7"/>
        <v>8.9560997604489145</v>
      </c>
      <c r="AD11" s="34">
        <f t="shared" si="7"/>
        <v>8.7748412117664465</v>
      </c>
      <c r="AE11" s="34">
        <f t="shared" si="7"/>
        <v>8.5945795851017319</v>
      </c>
      <c r="AF11" s="34">
        <f t="shared" si="7"/>
        <v>8.415309397383675</v>
      </c>
      <c r="AG11" s="34">
        <f t="shared" si="7"/>
        <v>8.2370251956980667</v>
      </c>
      <c r="AH11" s="34">
        <f t="shared" si="7"/>
        <v>8.059721557121728</v>
      </c>
      <c r="AI11" s="34">
        <f t="shared" si="7"/>
        <v>7.883393088557562</v>
      </c>
      <c r="AJ11" s="34">
        <f t="shared" si="7"/>
        <v>7.7080344265704994</v>
      </c>
      <c r="AK11" s="34">
        <f t="shared" si="7"/>
        <v>7.533640237224362</v>
      </c>
      <c r="AL11" s="34">
        <f t="shared" si="7"/>
        <v>7.3602052159196312</v>
      </c>
      <c r="AM11" s="34">
        <f t="shared" si="7"/>
        <v>7.1877240872320751</v>
      </c>
      <c r="AN11" s="34">
        <f t="shared" si="7"/>
        <v>7.0161916047523016</v>
      </c>
      <c r="AO11" s="34">
        <f t="shared" si="7"/>
        <v>6.8456025509261664</v>
      </c>
    </row>
    <row r="12" spans="2:41" ht="21" customHeight="1" x14ac:dyDescent="0.2">
      <c r="B12" s="56"/>
      <c r="C12" s="7" t="s">
        <v>16</v>
      </c>
      <c r="D12" s="13">
        <v>0.75</v>
      </c>
      <c r="E12" s="3" t="s">
        <v>17</v>
      </c>
      <c r="F12" s="3" t="s">
        <v>18</v>
      </c>
      <c r="H12" s="73" t="s">
        <v>80</v>
      </c>
      <c r="I12" s="72"/>
      <c r="J12" s="101" t="s">
        <v>110</v>
      </c>
      <c r="K12" s="24">
        <f>ROUND(J6/15,0)</f>
        <v>1067</v>
      </c>
      <c r="L12" s="69" t="s">
        <v>36</v>
      </c>
      <c r="M12" s="70"/>
      <c r="N12" s="71"/>
      <c r="P12" s="31" t="s">
        <v>127</v>
      </c>
      <c r="Q12" s="34">
        <f>IF(COLUMN()-16&lt;=$K$26,Q9+$K$29*$J$5/10000,Q7+Q11)</f>
        <v>25.258099999999999</v>
      </c>
      <c r="R12" s="34">
        <f t="shared" ref="R12:AO12" si="8">IF(COLUMN()-16&lt;=$K$26,R9+$K$29*$J$5/10000,R7+R11)</f>
        <v>25.174180450000001</v>
      </c>
      <c r="S12" s="34">
        <f t="shared" si="8"/>
        <v>25.090722457525004</v>
      </c>
      <c r="T12" s="34">
        <f t="shared" si="8"/>
        <v>25.007723484008615</v>
      </c>
      <c r="U12" s="34">
        <f t="shared" si="8"/>
        <v>24.925181004846571</v>
      </c>
      <c r="V12" s="34">
        <f t="shared" si="8"/>
        <v>24.843092509319916</v>
      </c>
      <c r="W12" s="34">
        <f t="shared" si="8"/>
        <v>82.529794617778407</v>
      </c>
      <c r="X12" s="34">
        <f t="shared" si="8"/>
        <v>82.155080747380623</v>
      </c>
      <c r="Y12" s="34">
        <f t="shared" si="8"/>
        <v>81.782427803270053</v>
      </c>
      <c r="Z12" s="34">
        <f t="shared" si="8"/>
        <v>81.411824450352043</v>
      </c>
      <c r="AA12" s="34">
        <f t="shared" si="8"/>
        <v>81.043259415875127</v>
      </c>
      <c r="AB12" s="34">
        <f t="shared" si="8"/>
        <v>80.676721489087811</v>
      </c>
      <c r="AC12" s="34">
        <f t="shared" si="8"/>
        <v>80.312199520897849</v>
      </c>
      <c r="AD12" s="34">
        <f t="shared" si="8"/>
        <v>79.949682423532892</v>
      </c>
      <c r="AE12" s="34">
        <f t="shared" si="8"/>
        <v>79.589159170203459</v>
      </c>
      <c r="AF12" s="34">
        <f t="shared" si="8"/>
        <v>79.230618794767366</v>
      </c>
      <c r="AG12" s="34">
        <f t="shared" si="8"/>
        <v>78.874050391396139</v>
      </c>
      <c r="AH12" s="34">
        <f t="shared" si="8"/>
        <v>78.519443114243472</v>
      </c>
      <c r="AI12" s="34">
        <f t="shared" si="8"/>
        <v>78.166786177115142</v>
      </c>
      <c r="AJ12" s="34">
        <f t="shared" si="8"/>
        <v>77.81606885314099</v>
      </c>
      <c r="AK12" s="34">
        <f t="shared" si="8"/>
        <v>77.467280474448728</v>
      </c>
      <c r="AL12" s="34">
        <f t="shared" si="8"/>
        <v>77.120410431839275</v>
      </c>
      <c r="AM12" s="34">
        <f t="shared" si="8"/>
        <v>76.775448174464145</v>
      </c>
      <c r="AN12" s="34">
        <f t="shared" si="8"/>
        <v>76.432383209504621</v>
      </c>
      <c r="AO12" s="34">
        <f t="shared" si="8"/>
        <v>76.091205101852353</v>
      </c>
    </row>
    <row r="13" spans="2:41" ht="21" customHeight="1" x14ac:dyDescent="0.2">
      <c r="B13" s="57"/>
      <c r="C13" s="7" t="s">
        <v>19</v>
      </c>
      <c r="D13" s="13">
        <v>0.4</v>
      </c>
      <c r="E13" s="3" t="s">
        <v>17</v>
      </c>
      <c r="F13" s="3" t="s">
        <v>20</v>
      </c>
      <c r="H13" s="73" t="s">
        <v>81</v>
      </c>
      <c r="I13" s="72"/>
      <c r="J13" s="101" t="s">
        <v>68</v>
      </c>
      <c r="K13" s="25">
        <f>K12*M6</f>
        <v>1173700</v>
      </c>
      <c r="L13" s="69" t="s">
        <v>37</v>
      </c>
      <c r="M13" s="70"/>
      <c r="N13" s="71"/>
      <c r="P13" s="31" t="s">
        <v>130</v>
      </c>
      <c r="Q13" s="52">
        <f>K29*J5/J9</f>
        <v>0.125</v>
      </c>
    </row>
    <row r="14" spans="2:41" ht="21" customHeight="1" x14ac:dyDescent="0.2">
      <c r="B14" s="55"/>
      <c r="C14" s="7" t="s">
        <v>21</v>
      </c>
      <c r="D14" s="13">
        <v>4</v>
      </c>
      <c r="E14" s="3" t="s">
        <v>22</v>
      </c>
      <c r="F14" s="3" t="s">
        <v>23</v>
      </c>
      <c r="H14" s="73" t="s">
        <v>74</v>
      </c>
      <c r="I14" s="72"/>
      <c r="J14" s="101" t="s">
        <v>75</v>
      </c>
      <c r="K14" s="26">
        <f>K13/J6</f>
        <v>73.356250000000003</v>
      </c>
      <c r="L14" s="69" t="s">
        <v>76</v>
      </c>
      <c r="M14" s="70"/>
      <c r="N14" s="71"/>
    </row>
    <row r="15" spans="2:41" ht="21" customHeight="1" x14ac:dyDescent="0.2">
      <c r="B15" s="56"/>
      <c r="C15" s="7"/>
      <c r="D15" s="13"/>
      <c r="E15" s="3"/>
      <c r="F15" s="3"/>
      <c r="H15" s="73" t="s">
        <v>121</v>
      </c>
      <c r="I15" s="72"/>
      <c r="J15" s="98" t="s">
        <v>66</v>
      </c>
      <c r="K15" s="28">
        <f>J9/K14</f>
        <v>10905.682883189911</v>
      </c>
      <c r="L15" s="69" t="s">
        <v>122</v>
      </c>
      <c r="M15" s="70"/>
      <c r="N15" s="71"/>
    </row>
    <row r="16" spans="2:41" ht="21" customHeight="1" x14ac:dyDescent="0.2">
      <c r="B16" s="56"/>
      <c r="C16" s="7" t="s">
        <v>24</v>
      </c>
      <c r="D16" s="13">
        <v>0.04</v>
      </c>
      <c r="E16" s="3" t="s">
        <v>17</v>
      </c>
      <c r="F16" s="3" t="s">
        <v>25</v>
      </c>
      <c r="H16" s="73" t="s">
        <v>98</v>
      </c>
      <c r="I16" s="72"/>
      <c r="J16" s="98" t="s">
        <v>67</v>
      </c>
      <c r="K16" s="90">
        <v>0.45</v>
      </c>
      <c r="L16" s="69" t="s">
        <v>111</v>
      </c>
      <c r="M16" s="70"/>
      <c r="N16" s="71"/>
    </row>
    <row r="17" spans="2:41" ht="21" customHeight="1" x14ac:dyDescent="0.2">
      <c r="B17" s="56"/>
      <c r="C17" s="7" t="s">
        <v>43</v>
      </c>
      <c r="D17" s="1">
        <v>10</v>
      </c>
      <c r="E17" s="3" t="s">
        <v>44</v>
      </c>
      <c r="F17" s="3"/>
      <c r="H17" s="73" t="s">
        <v>126</v>
      </c>
      <c r="I17" s="72"/>
      <c r="J17" s="98" t="s">
        <v>46</v>
      </c>
      <c r="K17" s="27">
        <f>IF(J9/K13&gt;1,1,J9/K13)</f>
        <v>0.68160518019936955</v>
      </c>
      <c r="L17" s="69" t="s">
        <v>125</v>
      </c>
      <c r="M17" s="70"/>
      <c r="N17" s="71"/>
    </row>
    <row r="18" spans="2:41" ht="21" customHeight="1" x14ac:dyDescent="0.2">
      <c r="B18" s="56"/>
      <c r="C18" s="7" t="s">
        <v>45</v>
      </c>
      <c r="D18" s="11">
        <v>0.03</v>
      </c>
      <c r="E18" s="3" t="s">
        <v>46</v>
      </c>
      <c r="F18" s="3" t="s">
        <v>47</v>
      </c>
      <c r="H18" s="73" t="s">
        <v>82</v>
      </c>
      <c r="I18" s="72"/>
      <c r="J18" s="101" t="s">
        <v>68</v>
      </c>
      <c r="K18" s="46">
        <f>IF(K13-J9&lt;0,"无",K13-J9)</f>
        <v>373700</v>
      </c>
      <c r="L18" s="69" t="s">
        <v>123</v>
      </c>
      <c r="M18" s="70"/>
      <c r="N18" s="71"/>
      <c r="P18" s="36">
        <f>K13*0.1</f>
        <v>117370</v>
      </c>
    </row>
    <row r="19" spans="2:41" s="4" customFormat="1" ht="21" customHeight="1" x14ac:dyDescent="0.2">
      <c r="B19" s="56"/>
      <c r="C19" s="9" t="s">
        <v>26</v>
      </c>
      <c r="D19" s="10" t="s">
        <v>34</v>
      </c>
      <c r="E19" s="9" t="s">
        <v>1</v>
      </c>
      <c r="F19" s="9" t="s">
        <v>2</v>
      </c>
      <c r="H19" s="73" t="s">
        <v>83</v>
      </c>
      <c r="I19" s="72"/>
      <c r="J19" s="98" t="s">
        <v>66</v>
      </c>
      <c r="K19" s="28" t="str">
        <f>IF(J9&gt;K13,((J9-K13)/K14)/M5,"无需")</f>
        <v>无需</v>
      </c>
      <c r="L19" s="73"/>
      <c r="M19" s="74"/>
      <c r="N19" s="7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</row>
    <row r="20" spans="2:41" ht="21" customHeight="1" x14ac:dyDescent="0.2">
      <c r="B20" s="56"/>
      <c r="C20" s="7" t="s">
        <v>27</v>
      </c>
      <c r="D20" s="1">
        <f>D7*D8</f>
        <v>14000</v>
      </c>
      <c r="E20" s="3" t="s">
        <v>4</v>
      </c>
      <c r="F20" s="3" t="s">
        <v>35</v>
      </c>
      <c r="H20" s="61" t="s">
        <v>92</v>
      </c>
      <c r="I20" s="62"/>
      <c r="J20" s="62"/>
      <c r="K20" s="62"/>
      <c r="L20" s="62"/>
      <c r="M20" s="62"/>
      <c r="N20" s="63"/>
    </row>
    <row r="21" spans="2:41" ht="21" customHeight="1" x14ac:dyDescent="0.2">
      <c r="B21" s="56"/>
      <c r="C21" s="7" t="s">
        <v>28</v>
      </c>
      <c r="D21" s="1">
        <f>ROUND(D20/15,0)</f>
        <v>933</v>
      </c>
      <c r="E21" s="3" t="s">
        <v>29</v>
      </c>
      <c r="F21" s="3" t="s">
        <v>36</v>
      </c>
      <c r="H21" s="64" t="s">
        <v>65</v>
      </c>
      <c r="I21" s="65"/>
      <c r="J21" s="100" t="s">
        <v>64</v>
      </c>
      <c r="K21" s="23" t="s">
        <v>63</v>
      </c>
      <c r="L21" s="64" t="s">
        <v>72</v>
      </c>
      <c r="M21" s="75"/>
      <c r="N21" s="65"/>
    </row>
    <row r="22" spans="2:41" ht="21" customHeight="1" x14ac:dyDescent="0.2">
      <c r="B22" s="56"/>
      <c r="C22" s="7" t="s">
        <v>30</v>
      </c>
      <c r="D22" s="1">
        <f>D21*D9/10000</f>
        <v>102.63</v>
      </c>
      <c r="E22" s="3" t="s">
        <v>12</v>
      </c>
      <c r="F22" s="3" t="s">
        <v>37</v>
      </c>
      <c r="H22" s="73" t="s">
        <v>84</v>
      </c>
      <c r="I22" s="72"/>
      <c r="J22" s="101" t="s">
        <v>85</v>
      </c>
      <c r="K22" s="90">
        <v>2.2000000000000002</v>
      </c>
      <c r="L22" s="69" t="s">
        <v>87</v>
      </c>
      <c r="M22" s="70"/>
      <c r="N22" s="71"/>
    </row>
    <row r="23" spans="2:41" ht="21" customHeight="1" x14ac:dyDescent="0.2">
      <c r="B23" s="56"/>
      <c r="C23" s="7" t="s">
        <v>74</v>
      </c>
      <c r="D23" s="13">
        <f>D22/D20*10000</f>
        <v>73.30714285714285</v>
      </c>
      <c r="E23" s="3" t="s">
        <v>75</v>
      </c>
      <c r="F23" s="3"/>
      <c r="H23" s="73" t="s">
        <v>97</v>
      </c>
      <c r="I23" s="72"/>
      <c r="J23" s="101" t="s">
        <v>86</v>
      </c>
      <c r="K23" s="29">
        <f>K12*1000*K22</f>
        <v>2347400</v>
      </c>
      <c r="L23" s="69" t="s">
        <v>108</v>
      </c>
      <c r="M23" s="70"/>
      <c r="N23" s="71"/>
      <c r="P23" s="37"/>
    </row>
    <row r="24" spans="2:41" ht="21" customHeight="1" x14ac:dyDescent="0.2">
      <c r="B24" s="56"/>
      <c r="C24" s="7" t="s">
        <v>31</v>
      </c>
      <c r="D24" s="1">
        <f>D10*D11</f>
        <v>200.01</v>
      </c>
      <c r="E24" s="3" t="s">
        <v>12</v>
      </c>
      <c r="F24" s="3"/>
      <c r="H24" s="73" t="s">
        <v>88</v>
      </c>
      <c r="I24" s="72"/>
      <c r="J24" s="101" t="s">
        <v>44</v>
      </c>
      <c r="K24" s="93">
        <v>25</v>
      </c>
      <c r="L24" s="69"/>
      <c r="M24" s="70"/>
      <c r="N24" s="71"/>
      <c r="P24" s="37"/>
    </row>
    <row r="25" spans="2:41" ht="21" customHeight="1" x14ac:dyDescent="0.2">
      <c r="B25" s="56"/>
      <c r="C25" s="7" t="s">
        <v>32</v>
      </c>
      <c r="D25" s="11">
        <f>MIN(D22/D24,1)</f>
        <v>0.51312434378281091</v>
      </c>
      <c r="E25" s="3" t="s">
        <v>7</v>
      </c>
      <c r="F25" s="3"/>
      <c r="H25" s="73" t="s">
        <v>89</v>
      </c>
      <c r="I25" s="72"/>
      <c r="J25" s="98" t="s">
        <v>46</v>
      </c>
      <c r="K25" s="94">
        <v>5.4999999999999997E-3</v>
      </c>
      <c r="L25" s="69" t="s">
        <v>117</v>
      </c>
      <c r="M25" s="70"/>
      <c r="N25" s="71"/>
    </row>
    <row r="26" spans="2:41" ht="21" customHeight="1" x14ac:dyDescent="0.2">
      <c r="B26" s="57"/>
      <c r="C26" s="7" t="s">
        <v>33</v>
      </c>
      <c r="D26" s="14">
        <f>IF(D25&lt;1,(D24-D22)/(D22/D7)/D8,"无需")</f>
        <v>27109.867624337079</v>
      </c>
      <c r="E26" s="3" t="s">
        <v>4</v>
      </c>
      <c r="F26" s="3"/>
      <c r="H26" s="73" t="s">
        <v>109</v>
      </c>
      <c r="I26" s="72"/>
      <c r="J26" s="101" t="s">
        <v>44</v>
      </c>
      <c r="K26" s="28">
        <f>ROUNDUP(K23*(1+35%)/(J9*K30+(K13-J9)*M7-K29*J5),0)</f>
        <v>6</v>
      </c>
      <c r="L26" s="69" t="s">
        <v>102</v>
      </c>
      <c r="M26" s="70"/>
      <c r="N26" s="71"/>
    </row>
    <row r="27" spans="2:41" ht="21" customHeight="1" x14ac:dyDescent="0.2">
      <c r="H27" s="61" t="s">
        <v>93</v>
      </c>
      <c r="I27" s="62"/>
      <c r="J27" s="62"/>
      <c r="K27" s="62"/>
      <c r="L27" s="62"/>
      <c r="M27" s="62"/>
      <c r="N27" s="63"/>
    </row>
    <row r="28" spans="2:41" s="4" customFormat="1" ht="21" customHeight="1" x14ac:dyDescent="0.2">
      <c r="C28" s="6" t="s">
        <v>26</v>
      </c>
      <c r="D28" s="1" t="s">
        <v>34</v>
      </c>
      <c r="E28" s="3" t="s">
        <v>1</v>
      </c>
      <c r="F28" s="3" t="s">
        <v>2</v>
      </c>
      <c r="H28" s="64" t="s">
        <v>65</v>
      </c>
      <c r="I28" s="65"/>
      <c r="J28" s="100" t="s">
        <v>64</v>
      </c>
      <c r="K28" s="23" t="s">
        <v>63</v>
      </c>
      <c r="L28" s="64" t="s">
        <v>72</v>
      </c>
      <c r="M28" s="75"/>
      <c r="N28" s="65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2:41" ht="21" customHeight="1" x14ac:dyDescent="0.2">
      <c r="C29" s="7" t="s">
        <v>38</v>
      </c>
      <c r="D29" s="13">
        <f>D21*D14*1000/10000</f>
        <v>373.2</v>
      </c>
      <c r="E29" s="3" t="s">
        <v>39</v>
      </c>
      <c r="F29" s="15"/>
      <c r="H29" s="73" t="s">
        <v>90</v>
      </c>
      <c r="I29" s="72"/>
      <c r="J29" s="98" t="s">
        <v>91</v>
      </c>
      <c r="K29" s="90">
        <v>5</v>
      </c>
      <c r="L29" s="76" t="s">
        <v>120</v>
      </c>
      <c r="M29" s="77"/>
      <c r="N29" s="78"/>
    </row>
    <row r="30" spans="2:41" ht="21" customHeight="1" x14ac:dyDescent="0.2">
      <c r="C30" s="7"/>
      <c r="D30" s="13"/>
      <c r="E30" s="3"/>
      <c r="F30" s="15"/>
      <c r="H30" s="73" t="s">
        <v>105</v>
      </c>
      <c r="I30" s="72"/>
      <c r="J30" s="98" t="s">
        <v>67</v>
      </c>
      <c r="K30" s="90">
        <v>0.65</v>
      </c>
      <c r="L30" s="79"/>
      <c r="M30" s="80"/>
      <c r="N30" s="81"/>
    </row>
    <row r="31" spans="2:41" ht="21" customHeight="1" x14ac:dyDescent="0.2">
      <c r="C31" s="7" t="s">
        <v>40</v>
      </c>
      <c r="D31" s="13">
        <f>(D29/D22)</f>
        <v>3.6363636363636362</v>
      </c>
      <c r="E31" s="3" t="s">
        <v>17</v>
      </c>
      <c r="F31" s="15"/>
      <c r="H31" s="73" t="str">
        <f>"前"&amp;K26&amp;"年节约电费"</f>
        <v>前6年节约电费</v>
      </c>
      <c r="I31" s="72"/>
      <c r="J31" s="98" t="s">
        <v>96</v>
      </c>
      <c r="K31" s="21">
        <f ca="1">SUM(INDIRECT(ADDRESS(9,17,1)&amp;":"&amp;ADDRESS(9,17+$K$26-1,1,1)))</f>
        <v>90.2989999057001</v>
      </c>
      <c r="L31" s="69" t="s">
        <v>118</v>
      </c>
      <c r="M31" s="70"/>
      <c r="N31" s="71"/>
    </row>
    <row r="32" spans="2:41" ht="21" customHeight="1" x14ac:dyDescent="0.2">
      <c r="C32" s="7" t="s">
        <v>41</v>
      </c>
      <c r="D32" s="1">
        <f>D12</f>
        <v>0.75</v>
      </c>
      <c r="E32" s="3" t="s">
        <v>17</v>
      </c>
      <c r="F32" s="15"/>
      <c r="H32" s="73" t="str">
        <f>"后"&amp;25-K26&amp;"企业自用电费收益"</f>
        <v>后19企业自用电费收益</v>
      </c>
      <c r="I32" s="72"/>
      <c r="J32" s="98" t="s">
        <v>96</v>
      </c>
      <c r="K32" s="26">
        <f ca="1">SUM(INDIRECT(ADDRESS(7,17+$K$26,1,1)&amp;":"&amp;ADDRESS(7,17+$K$26+25-$K$26-1,1,1)))</f>
        <v>1345.7719221805751</v>
      </c>
      <c r="L32" s="69" t="s">
        <v>106</v>
      </c>
      <c r="M32" s="70"/>
      <c r="N32" s="71"/>
    </row>
    <row r="33" spans="3:16" ht="21" customHeight="1" x14ac:dyDescent="0.2">
      <c r="C33" s="7" t="s">
        <v>42</v>
      </c>
      <c r="D33" s="13">
        <f>D31</f>
        <v>3.6363636363636362</v>
      </c>
      <c r="E33" s="3" t="s">
        <v>17</v>
      </c>
      <c r="F33" s="15"/>
      <c r="H33" s="73" t="str">
        <f>"后"&amp;25-K26&amp;"年余量上网电费收益"</f>
        <v>后19年余量上网电费收益</v>
      </c>
      <c r="I33" s="72"/>
      <c r="J33" s="98" t="s">
        <v>96</v>
      </c>
      <c r="K33" s="26">
        <f ca="1">SUM(INDIRECT(ADDRESS(11,17+$K$26,1,1)&amp;":"&amp;ADDRESS(11,17+$K$26+25-$K$26-1,1,1)))</f>
        <v>160.17192218057519</v>
      </c>
      <c r="L33" s="69" t="s">
        <v>107</v>
      </c>
      <c r="M33" s="70"/>
      <c r="N33" s="71"/>
    </row>
    <row r="34" spans="3:16" ht="21" customHeight="1" x14ac:dyDescent="0.2">
      <c r="C34" s="47"/>
      <c r="D34" s="48"/>
      <c r="E34" s="49"/>
      <c r="F34" s="50"/>
      <c r="H34" s="73" t="s">
        <v>128</v>
      </c>
      <c r="I34" s="72"/>
      <c r="J34" s="98" t="s">
        <v>96</v>
      </c>
      <c r="K34" s="26">
        <f>K29*K26*J5/10000</f>
        <v>60</v>
      </c>
      <c r="L34" s="43"/>
      <c r="M34" s="44"/>
      <c r="N34" s="45"/>
    </row>
    <row r="35" spans="3:16" ht="21" customHeight="1" x14ac:dyDescent="0.2">
      <c r="H35" s="82" t="s">
        <v>119</v>
      </c>
      <c r="I35" s="83"/>
      <c r="J35" s="102" t="s">
        <v>96</v>
      </c>
      <c r="K35" s="39">
        <f ca="1">K32+K33+K31+K34</f>
        <v>1656.2428442668504</v>
      </c>
      <c r="L35" s="84" t="s">
        <v>129</v>
      </c>
      <c r="M35" s="85"/>
      <c r="N35" s="86"/>
      <c r="P35" s="51"/>
    </row>
    <row r="36" spans="3:16" ht="21" customHeight="1" x14ac:dyDescent="0.2">
      <c r="H36" s="105" t="s">
        <v>131</v>
      </c>
      <c r="I36" s="105"/>
      <c r="J36" s="105"/>
      <c r="K36" s="105"/>
      <c r="L36" s="105"/>
      <c r="M36" s="105"/>
      <c r="N36" s="105"/>
    </row>
  </sheetData>
  <mergeCells count="55">
    <mergeCell ref="H36:N36"/>
    <mergeCell ref="H34:I34"/>
    <mergeCell ref="H35:I35"/>
    <mergeCell ref="L35:N35"/>
    <mergeCell ref="H31:I31"/>
    <mergeCell ref="L31:N31"/>
    <mergeCell ref="H32:I32"/>
    <mergeCell ref="L32:N32"/>
    <mergeCell ref="H33:I33"/>
    <mergeCell ref="L33:N33"/>
    <mergeCell ref="H28:I28"/>
    <mergeCell ref="L28:N28"/>
    <mergeCell ref="H29:I29"/>
    <mergeCell ref="L29:N30"/>
    <mergeCell ref="H30:I30"/>
    <mergeCell ref="H25:I25"/>
    <mergeCell ref="L25:N25"/>
    <mergeCell ref="H26:I26"/>
    <mergeCell ref="L26:N26"/>
    <mergeCell ref="H27:N27"/>
    <mergeCell ref="H21:I21"/>
    <mergeCell ref="L21:N21"/>
    <mergeCell ref="H22:I22"/>
    <mergeCell ref="L22:N22"/>
    <mergeCell ref="H24:I24"/>
    <mergeCell ref="L24:N24"/>
    <mergeCell ref="B14:B26"/>
    <mergeCell ref="H14:I14"/>
    <mergeCell ref="L14:N14"/>
    <mergeCell ref="H15:I15"/>
    <mergeCell ref="L15:N15"/>
    <mergeCell ref="H16:I16"/>
    <mergeCell ref="L16:N16"/>
    <mergeCell ref="H23:I23"/>
    <mergeCell ref="L23:N23"/>
    <mergeCell ref="H17:I17"/>
    <mergeCell ref="L17:N17"/>
    <mergeCell ref="H18:I18"/>
    <mergeCell ref="L18:N18"/>
    <mergeCell ref="H19:I19"/>
    <mergeCell ref="L19:N19"/>
    <mergeCell ref="H20:N20"/>
    <mergeCell ref="B1:F2"/>
    <mergeCell ref="B3:B13"/>
    <mergeCell ref="D3:F3"/>
    <mergeCell ref="H3:N3"/>
    <mergeCell ref="D5:F5"/>
    <mergeCell ref="L9:M9"/>
    <mergeCell ref="H10:N10"/>
    <mergeCell ref="H11:I11"/>
    <mergeCell ref="L11:N11"/>
    <mergeCell ref="H12:I12"/>
    <mergeCell ref="L12:N12"/>
    <mergeCell ref="H13:I13"/>
    <mergeCell ref="L13:N13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Jerry</cp:lastModifiedBy>
  <cp:lastPrinted>2025-08-18T09:04:50Z</cp:lastPrinted>
  <dcterms:created xsi:type="dcterms:W3CDTF">2025-08-13T07:00:11Z</dcterms:created>
  <dcterms:modified xsi:type="dcterms:W3CDTF">2025-08-28T03:18:50Z</dcterms:modified>
</cp:coreProperties>
</file>